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aquartiroli/Desktop/"/>
    </mc:Choice>
  </mc:AlternateContent>
  <xr:revisionPtr revIDLastSave="0" documentId="8_{71C918DD-C268-5441-B3F3-18E5DE93A36D}" xr6:coauthVersionLast="47" xr6:coauthVersionMax="47" xr10:uidLastSave="{00000000-0000-0000-0000-000000000000}"/>
  <bookViews>
    <workbookView xWindow="3840" yWindow="2180" windowWidth="26880" windowHeight="16300" tabRatio="887" xr2:uid="{00000000-000D-0000-FFFF-FFFF00000000}"/>
  </bookViews>
  <sheets>
    <sheet name="FINAL Budget" sheetId="9" r:id="rId1"/>
    <sheet name=" Draft 1 BUDGET" sheetId="1" state="hidden" r:id="rId2"/>
    <sheet name="Reg Income Projection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9" l="1"/>
  <c r="C49" i="9"/>
  <c r="B52" i="9"/>
  <c r="B46" i="9"/>
  <c r="H10" i="8"/>
  <c r="O2" i="8"/>
  <c r="D5" i="9"/>
  <c r="D4" i="9"/>
  <c r="D3" i="9"/>
  <c r="C5" i="9"/>
  <c r="C4" i="9"/>
  <c r="C3" i="9"/>
  <c r="B5" i="9"/>
  <c r="B4" i="9"/>
  <c r="B3" i="9"/>
  <c r="P27" i="8" l="1"/>
  <c r="Q27" i="8"/>
  <c r="R27" i="8"/>
  <c r="O27" i="8"/>
  <c r="P3" i="8"/>
  <c r="Q3" i="8"/>
  <c r="R3" i="8"/>
  <c r="O3" i="8"/>
  <c r="E32" i="8" l="1"/>
  <c r="D32" i="8"/>
  <c r="C32" i="8"/>
  <c r="B32" i="8"/>
  <c r="E28" i="8"/>
  <c r="D28" i="8"/>
  <c r="E20" i="8"/>
  <c r="D20" i="8"/>
  <c r="C20" i="8"/>
  <c r="B20" i="8"/>
  <c r="E16" i="8"/>
  <c r="D16" i="8"/>
  <c r="E8" i="8"/>
  <c r="D8" i="8"/>
  <c r="C8" i="8"/>
  <c r="B8" i="8"/>
  <c r="E4" i="8"/>
  <c r="D4" i="8"/>
  <c r="H34" i="8"/>
  <c r="R33" i="8"/>
  <c r="Q33" i="8"/>
  <c r="P33" i="8"/>
  <c r="O33" i="8"/>
  <c r="L33" i="8"/>
  <c r="K22" i="8"/>
  <c r="R21" i="8"/>
  <c r="Q21" i="8"/>
  <c r="P21" i="8"/>
  <c r="O21" i="8"/>
  <c r="L21" i="8"/>
  <c r="I10" i="8"/>
  <c r="J10" i="8"/>
  <c r="K10" i="8"/>
  <c r="R9" i="8"/>
  <c r="Q9" i="8"/>
  <c r="P9" i="8"/>
  <c r="O9" i="8"/>
  <c r="L9" i="8"/>
  <c r="B23" i="1"/>
  <c r="H22" i="8" l="1"/>
  <c r="K34" i="8" l="1"/>
  <c r="J34" i="8"/>
  <c r="I34" i="8"/>
  <c r="R32" i="8"/>
  <c r="Q32" i="8"/>
  <c r="P32" i="8"/>
  <c r="O32" i="8"/>
  <c r="L32" i="8"/>
  <c r="R31" i="8"/>
  <c r="Q31" i="8"/>
  <c r="P31" i="8"/>
  <c r="O31" i="8"/>
  <c r="L31" i="8"/>
  <c r="R28" i="8"/>
  <c r="Q28" i="8"/>
  <c r="P28" i="8"/>
  <c r="O28" i="8"/>
  <c r="L28" i="8"/>
  <c r="R30" i="8"/>
  <c r="Q30" i="8"/>
  <c r="P30" i="8"/>
  <c r="O30" i="8"/>
  <c r="L30" i="8"/>
  <c r="L27" i="8"/>
  <c r="R29" i="8"/>
  <c r="Q29" i="8"/>
  <c r="P29" i="8"/>
  <c r="O29" i="8"/>
  <c r="L29" i="8"/>
  <c r="R26" i="8"/>
  <c r="Q26" i="8"/>
  <c r="P26" i="8"/>
  <c r="O26" i="8"/>
  <c r="L26" i="8"/>
  <c r="O20" i="8"/>
  <c r="P20" i="8"/>
  <c r="Q20" i="8"/>
  <c r="R20" i="8"/>
  <c r="O6" i="8"/>
  <c r="P6" i="8"/>
  <c r="Q6" i="8"/>
  <c r="R6" i="8"/>
  <c r="P15" i="8"/>
  <c r="Q15" i="8"/>
  <c r="R15" i="8"/>
  <c r="O18" i="8"/>
  <c r="P18" i="8"/>
  <c r="Q18" i="8"/>
  <c r="R18" i="8"/>
  <c r="O16" i="8"/>
  <c r="P16" i="8"/>
  <c r="Q16" i="8"/>
  <c r="R16" i="8"/>
  <c r="P19" i="8"/>
  <c r="Q19" i="8"/>
  <c r="R19" i="8"/>
  <c r="P17" i="8"/>
  <c r="R17" i="8"/>
  <c r="J14" i="8"/>
  <c r="J22" i="8" s="1"/>
  <c r="I22" i="8"/>
  <c r="L17" i="8"/>
  <c r="L15" i="8"/>
  <c r="L18" i="8"/>
  <c r="L16" i="8"/>
  <c r="L19" i="8"/>
  <c r="L20" i="8"/>
  <c r="O19" i="8"/>
  <c r="O15" i="8"/>
  <c r="Q17" i="8"/>
  <c r="O17" i="8"/>
  <c r="P8" i="8"/>
  <c r="Q8" i="8"/>
  <c r="R8" i="8"/>
  <c r="P7" i="8"/>
  <c r="Q7" i="8"/>
  <c r="R7" i="8"/>
  <c r="P4" i="8"/>
  <c r="Q4" i="8"/>
  <c r="R4" i="8"/>
  <c r="L6" i="8"/>
  <c r="L4" i="8"/>
  <c r="L7" i="8"/>
  <c r="L8" i="8"/>
  <c r="L3" i="8"/>
  <c r="L5" i="8"/>
  <c r="L2" i="8"/>
  <c r="R5" i="8"/>
  <c r="P5" i="8"/>
  <c r="C35" i="9"/>
  <c r="D35" i="9"/>
  <c r="Q5" i="8"/>
  <c r="O5" i="8"/>
  <c r="B19" i="1"/>
  <c r="B18" i="1"/>
  <c r="B6" i="1"/>
  <c r="B5" i="1"/>
  <c r="D28" i="9" l="1"/>
  <c r="B35" i="9"/>
  <c r="L34" i="8"/>
  <c r="O34" i="8"/>
  <c r="D2" i="9" s="1"/>
  <c r="P34" i="8"/>
  <c r="R34" i="8"/>
  <c r="Q34" i="8"/>
  <c r="L14" i="8"/>
  <c r="C28" i="9"/>
  <c r="B28" i="9"/>
  <c r="D8" i="9" l="1"/>
  <c r="D37" i="9" s="1"/>
  <c r="M27" i="8"/>
  <c r="M31" i="8"/>
  <c r="M28" i="8"/>
  <c r="M32" i="8"/>
  <c r="M29" i="8"/>
  <c r="M30" i="8"/>
  <c r="M33" i="8"/>
  <c r="M26" i="8"/>
  <c r="S34" i="8"/>
  <c r="B17" i="1"/>
  <c r="D46" i="9" l="1"/>
  <c r="B18" i="9"/>
  <c r="C18" i="9"/>
  <c r="D18" i="9"/>
  <c r="D43" i="9" s="1"/>
  <c r="B7" i="1" l="1"/>
  <c r="B20" i="1"/>
  <c r="B24" i="1" s="1"/>
  <c r="B25" i="1" s="1"/>
  <c r="B2" i="1" l="1"/>
  <c r="B10" i="1" s="1"/>
  <c r="R14" i="8"/>
  <c r="R22" i="8" s="1"/>
  <c r="Q14" i="8"/>
  <c r="Q22" i="8" s="1"/>
  <c r="P14" i="8"/>
  <c r="P22" i="8" s="1"/>
  <c r="O14" i="8"/>
  <c r="O22" i="8" s="1"/>
  <c r="C2" i="9" s="1"/>
  <c r="C8" i="9" s="1"/>
  <c r="O8" i="8"/>
  <c r="O7" i="8"/>
  <c r="O4" i="8"/>
  <c r="O10" i="8" s="1"/>
  <c r="B2" i="9" s="1"/>
  <c r="B8" i="9" s="1"/>
  <c r="R2" i="8"/>
  <c r="R10" i="8" s="1"/>
  <c r="Q2" i="8"/>
  <c r="Q10" i="8" s="1"/>
  <c r="P2" i="8"/>
  <c r="P10" i="8" s="1"/>
  <c r="D49" i="9" l="1"/>
  <c r="D52" i="9" s="1"/>
  <c r="C37" i="9"/>
  <c r="C43" i="9" s="1"/>
  <c r="S22" i="8"/>
  <c r="L22" i="8"/>
  <c r="L10" i="8"/>
  <c r="M17" i="8" l="1"/>
  <c r="M18" i="8"/>
  <c r="M16" i="8"/>
  <c r="M19" i="8"/>
  <c r="M20" i="8"/>
  <c r="M21" i="8"/>
  <c r="M15" i="8"/>
  <c r="M14" i="8"/>
  <c r="M5" i="8"/>
  <c r="M3" i="8"/>
  <c r="M6" i="8"/>
  <c r="M4" i="8"/>
  <c r="M7" i="8"/>
  <c r="M9" i="8"/>
  <c r="M8" i="8"/>
  <c r="M2" i="8"/>
  <c r="S10" i="8"/>
  <c r="B37" i="9"/>
  <c r="B43" i="9" s="1"/>
  <c r="B49" i="9" l="1"/>
  <c r="C52" i="9"/>
  <c r="B4" i="1" l="1"/>
  <c r="B11" i="1" s="1"/>
  <c r="B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tc={968799F4-F159-9C45-AB69-DC9A8BACF6D3}</author>
  </authors>
  <commentList>
    <comment ref="B9" authorId="0" shapeId="0" xr:uid="{968799F4-F159-9C45-AB69-DC9A8BACF6D3}">
      <text>
        <r>
          <rPr>
            <sz val="11"/>
            <color theme="1"/>
            <rFont val="Calibri"/>
            <family val="2"/>
            <charset val="161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is more than 25% of the income, or expenses?</t>
        </r>
      </text>
    </comment>
  </commentList>
</comments>
</file>

<file path=xl/sharedStrings.xml><?xml version="1.0" encoding="utf-8"?>
<sst xmlns="http://schemas.openxmlformats.org/spreadsheetml/2006/main" count="124" uniqueCount="60">
  <si>
    <t># of attendees</t>
  </si>
  <si>
    <t>Early Bird</t>
  </si>
  <si>
    <t>NOTE: You must update Tab 2 "Reg Income Projection" with your own registration costs and attendance projections</t>
  </si>
  <si>
    <t>Regular</t>
  </si>
  <si>
    <t>Late</t>
  </si>
  <si>
    <t>Onsite</t>
  </si>
  <si>
    <t>Cultural Tour</t>
  </si>
  <si>
    <t>Special Dinner</t>
  </si>
  <si>
    <t>TOTAL INCOME</t>
  </si>
  <si>
    <t>Hospitality</t>
  </si>
  <si>
    <t>Gratis Accomodations</t>
  </si>
  <si>
    <t>MC Taxis</t>
  </si>
  <si>
    <t>Speaker Meals</t>
  </si>
  <si>
    <t>Volunteer Accomodations</t>
  </si>
  <si>
    <t>Volunteer Meals</t>
  </si>
  <si>
    <t>Conference F&amp;B</t>
  </si>
  <si>
    <t>Conference Room Rental</t>
  </si>
  <si>
    <t>TOTAL</t>
  </si>
  <si>
    <t>Congress Material</t>
  </si>
  <si>
    <t>Techinical Support</t>
  </si>
  <si>
    <t>Travel</t>
  </si>
  <si>
    <t>Excursions</t>
  </si>
  <si>
    <t>Opening Ceremony Bus</t>
  </si>
  <si>
    <t>Speaker Stipend</t>
  </si>
  <si>
    <t>Opening &amp; Closing Ceremonies</t>
  </si>
  <si>
    <t>Opening Facility Rental</t>
  </si>
  <si>
    <t>Opening Welcome F&amp;B</t>
  </si>
  <si>
    <t>Opening Entertainment</t>
  </si>
  <si>
    <t>Closing F&amp;B</t>
  </si>
  <si>
    <t>Bank Processing Fee</t>
  </si>
  <si>
    <t>MISC Expenses</t>
  </si>
  <si>
    <t>Management Fee</t>
  </si>
  <si>
    <t>Expenses Before Royalty</t>
  </si>
  <si>
    <t>ISSP Royalty Fee</t>
  </si>
  <si>
    <t>TOTAL EXPENSES</t>
  </si>
  <si>
    <t>NET INCOME</t>
  </si>
  <si>
    <t>ISSP Congress 14-19 July 2025</t>
  </si>
  <si>
    <t>Income  1000 persons</t>
  </si>
  <si>
    <t>Expenses</t>
  </si>
  <si>
    <t>Travel (BUS-CRUISE-AIR)</t>
  </si>
  <si>
    <t>Opening Closing Ceremonies</t>
  </si>
  <si>
    <t>Congress material</t>
  </si>
  <si>
    <t>Hospitality (incl Congr Halls)</t>
  </si>
  <si>
    <t>other expenses</t>
  </si>
  <si>
    <t>UTH 25% manag (incl staff rent extra Congr eqipm (e.g. softw/poster) market etc.)</t>
  </si>
  <si>
    <t xml:space="preserve"> ISSP 7%</t>
  </si>
  <si>
    <t>Total expenses</t>
  </si>
  <si>
    <t>Gain-Loss</t>
  </si>
  <si>
    <t>Income  1100 persons</t>
  </si>
  <si>
    <t>Total Expenses</t>
  </si>
  <si>
    <t>Stand</t>
  </si>
  <si>
    <t>On-site</t>
  </si>
  <si>
    <t>Member Professional</t>
  </si>
  <si>
    <t>Member emerging countries</t>
  </si>
  <si>
    <t>Member Student</t>
  </si>
  <si>
    <t>Non-member Professional</t>
  </si>
  <si>
    <t>Non-member emerging countries</t>
  </si>
  <si>
    <t>Non-member Student</t>
  </si>
  <si>
    <t>One-day registration</t>
  </si>
  <si>
    <t>Gratis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</si>
</sst>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\ &quot;€&quot;;[Red]\-#,##0\ &quot;€&quot;"/>
    <numFmt numFmtId="165" formatCode="_([$€-2]\ * #,##0_);_([$€-2]\ * \(#,##0\);_([$€-2]\ * &quot;-&quot;??_);_(@_)"/>
    <numFmt numFmtId="166" formatCode="_([$€-2]\ * #,##0.00_);_([$€-2]\ * \(#,##0.00\);_([$€-2]\ * &quot;-&quot;??_);_(@_)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8"/>
      <color rgb="FF002060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8" fillId="0" borderId="0" xfId="0" applyFont="1"/>
    <xf numFmtId="0" fontId="10" fillId="0" borderId="0" xfId="0" applyFont="1"/>
    <xf numFmtId="165" fontId="0" fillId="0" borderId="0" xfId="0" applyNumberFormat="1"/>
    <xf numFmtId="165" fontId="2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/>
    <xf numFmtId="164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/>
    </xf>
    <xf numFmtId="0" fontId="11" fillId="0" borderId="0" xfId="0" applyFont="1"/>
    <xf numFmtId="1" fontId="0" fillId="0" borderId="0" xfId="0" applyNumberFormat="1"/>
    <xf numFmtId="1" fontId="12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9" fontId="0" fillId="0" borderId="0" xfId="2" applyFont="1" applyFill="1"/>
    <xf numFmtId="166" fontId="0" fillId="0" borderId="0" xfId="0" applyNumberFormat="1"/>
    <xf numFmtId="1" fontId="10" fillId="0" borderId="0" xfId="0" applyNumberFormat="1" applyFont="1"/>
    <xf numFmtId="0" fontId="6" fillId="0" borderId="0" xfId="0" applyFont="1"/>
    <xf numFmtId="0" fontId="12" fillId="0" borderId="0" xfId="0" applyFont="1"/>
    <xf numFmtId="0" fontId="12" fillId="0" borderId="0" xfId="0" applyFont="1" applyAlignment="1">
      <alignment horizontal="left" indent="1"/>
    </xf>
    <xf numFmtId="9" fontId="14" fillId="0" borderId="0" xfId="2" applyFont="1"/>
    <xf numFmtId="9" fontId="0" fillId="0" borderId="0" xfId="0" applyNumberFormat="1"/>
    <xf numFmtId="167" fontId="12" fillId="0" borderId="0" xfId="0" applyNumberFormat="1" applyFont="1"/>
    <xf numFmtId="167" fontId="10" fillId="0" borderId="1" xfId="0" applyNumberFormat="1" applyFont="1" applyBorder="1"/>
    <xf numFmtId="167" fontId="10" fillId="0" borderId="0" xfId="0" applyNumberFormat="1" applyFont="1"/>
    <xf numFmtId="167" fontId="0" fillId="0" borderId="0" xfId="0" applyNumberFormat="1"/>
    <xf numFmtId="44" fontId="10" fillId="0" borderId="0" xfId="1" applyFont="1"/>
    <xf numFmtId="44" fontId="0" fillId="0" borderId="0" xfId="1" applyFont="1"/>
    <xf numFmtId="44" fontId="12" fillId="0" borderId="0" xfId="1" applyFont="1"/>
    <xf numFmtId="44" fontId="10" fillId="0" borderId="1" xfId="1" applyFont="1" applyBorder="1"/>
    <xf numFmtId="44" fontId="10" fillId="0" borderId="0" xfId="1" applyFont="1" applyBorder="1"/>
    <xf numFmtId="44" fontId="13" fillId="0" borderId="1" xfId="1" applyFont="1" applyBorder="1"/>
    <xf numFmtId="168" fontId="6" fillId="0" borderId="0" xfId="1" applyNumberFormat="1" applyFont="1" applyAlignment="1">
      <alignment horizontal="center" vertical="center" wrapText="1"/>
    </xf>
    <xf numFmtId="168" fontId="0" fillId="0" borderId="0" xfId="1" applyNumberFormat="1" applyFont="1"/>
    <xf numFmtId="168" fontId="10" fillId="0" borderId="0" xfId="1" applyNumberFormat="1" applyFont="1"/>
    <xf numFmtId="168" fontId="0" fillId="0" borderId="0" xfId="1" applyNumberFormat="1" applyFont="1" applyFill="1"/>
    <xf numFmtId="168" fontId="10" fillId="0" borderId="0" xfId="1" applyNumberFormat="1" applyFont="1" applyFill="1"/>
    <xf numFmtId="0" fontId="7" fillId="2" borderId="0" xfId="0" applyFont="1" applyFill="1" applyAlignment="1">
      <alignment vertical="center" wrapText="1"/>
    </xf>
    <xf numFmtId="168" fontId="5" fillId="2" borderId="0" xfId="1" applyNumberFormat="1" applyFont="1" applyFill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168" fontId="10" fillId="2" borderId="0" xfId="1" applyNumberFormat="1" applyFont="1" applyFill="1"/>
    <xf numFmtId="0" fontId="11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ole Brandt" id="{0C873A64-C41E-5347-A831-C1EB8C9BAA93}" userId="S::nbrandt@hollandparletteindy.onmicrosoft.com::f84e9df7-ec15-4f32-aa9d-adbd2bb6829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2-05-25T14:47:39.30" personId="{0C873A64-C41E-5347-A831-C1EB8C9BAA93}" id="{968799F4-F159-9C45-AB69-DC9A8BACF6D3}">
    <text>This is more than 25% of the income, or expenses?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67BF-657A-0E48-9A48-2BB1A757061A}">
  <dimension ref="A1:H52"/>
  <sheetViews>
    <sheetView tabSelected="1" topLeftCell="A24" workbookViewId="0">
      <selection activeCell="J44" sqref="J44"/>
    </sheetView>
  </sheetViews>
  <sheetFormatPr baseColWidth="10" defaultColWidth="11.5" defaultRowHeight="15" x14ac:dyDescent="0.2"/>
  <cols>
    <col min="1" max="1" width="25.1640625" bestFit="1" customWidth="1"/>
    <col min="2" max="4" width="12.5" style="6" bestFit="1" customWidth="1"/>
    <col min="5" max="5" width="3.1640625" customWidth="1"/>
  </cols>
  <sheetData>
    <row r="1" spans="1:8" x14ac:dyDescent="0.2">
      <c r="A1" s="13" t="s">
        <v>0</v>
      </c>
      <c r="B1" s="5">
        <v>600</v>
      </c>
      <c r="C1" s="5">
        <v>800</v>
      </c>
      <c r="D1" s="5">
        <v>1000</v>
      </c>
    </row>
    <row r="2" spans="1:8" x14ac:dyDescent="0.2">
      <c r="A2" s="25" t="s">
        <v>1</v>
      </c>
      <c r="B2" s="29">
        <f>'Reg Income Projection'!O10</f>
        <v>141309</v>
      </c>
      <c r="C2" s="29">
        <f>'Reg Income Projection'!O22</f>
        <v>201460</v>
      </c>
      <c r="D2" s="29">
        <f>'Reg Income Projection'!O34</f>
        <v>233365</v>
      </c>
      <c r="F2" s="49" t="s">
        <v>2</v>
      </c>
      <c r="G2" s="49"/>
      <c r="H2" s="49"/>
    </row>
    <row r="3" spans="1:8" x14ac:dyDescent="0.2">
      <c r="A3" s="25" t="s">
        <v>3</v>
      </c>
      <c r="B3" s="29">
        <f>'Reg Income Projection'!P10</f>
        <v>111390</v>
      </c>
      <c r="C3" s="29">
        <f>'Reg Income Projection'!P22</f>
        <v>114042</v>
      </c>
      <c r="D3" s="29">
        <f>'Reg Income Projection'!P34</f>
        <v>133582</v>
      </c>
      <c r="F3" s="49"/>
      <c r="G3" s="49"/>
      <c r="H3" s="49"/>
    </row>
    <row r="4" spans="1:8" x14ac:dyDescent="0.2">
      <c r="A4" s="25" t="s">
        <v>4</v>
      </c>
      <c r="B4" s="29">
        <f>'Reg Income Projection'!Q10</f>
        <v>17438</v>
      </c>
      <c r="C4" s="29">
        <f>'Reg Income Projection'!Q22</f>
        <v>33166</v>
      </c>
      <c r="D4" s="29">
        <f>'Reg Income Projection'!Q34</f>
        <v>78311</v>
      </c>
      <c r="F4" s="49"/>
      <c r="G4" s="49"/>
      <c r="H4" s="49"/>
    </row>
    <row r="5" spans="1:8" x14ac:dyDescent="0.2">
      <c r="A5" s="25" t="s">
        <v>5</v>
      </c>
      <c r="B5" s="29">
        <f>'Reg Income Projection'!R10</f>
        <v>2710</v>
      </c>
      <c r="C5" s="29">
        <f>'Reg Income Projection'!R22</f>
        <v>2560</v>
      </c>
      <c r="D5" s="29">
        <f>'Reg Income Projection'!R34</f>
        <v>7820</v>
      </c>
      <c r="F5" s="49"/>
      <c r="G5" s="49"/>
      <c r="H5" s="49"/>
    </row>
    <row r="6" spans="1:8" x14ac:dyDescent="0.2">
      <c r="A6" s="25" t="s">
        <v>6</v>
      </c>
      <c r="B6" s="29"/>
      <c r="C6" s="29"/>
      <c r="D6" s="29"/>
      <c r="F6" s="49"/>
      <c r="G6" s="49"/>
      <c r="H6" s="49"/>
    </row>
    <row r="7" spans="1:8" x14ac:dyDescent="0.2">
      <c r="A7" s="25" t="s">
        <v>7</v>
      </c>
      <c r="B7" s="29"/>
      <c r="C7" s="29"/>
      <c r="D7" s="29"/>
    </row>
    <row r="8" spans="1:8" x14ac:dyDescent="0.2">
      <c r="A8" s="19" t="s">
        <v>8</v>
      </c>
      <c r="B8" s="30">
        <f>SUM(B2:B6)</f>
        <v>272847</v>
      </c>
      <c r="C8" s="30">
        <f>SUM(C2:C6)</f>
        <v>351228</v>
      </c>
      <c r="D8" s="30">
        <f>SUM(D2:D6)</f>
        <v>453078</v>
      </c>
    </row>
    <row r="9" spans="1:8" x14ac:dyDescent="0.2">
      <c r="A9" s="25"/>
      <c r="B9" s="29"/>
      <c r="C9" s="29"/>
      <c r="D9" s="29"/>
    </row>
    <row r="10" spans="1:8" x14ac:dyDescent="0.2">
      <c r="A10" s="5" t="s">
        <v>9</v>
      </c>
      <c r="B10" s="29"/>
      <c r="C10" s="29"/>
      <c r="D10" s="29"/>
    </row>
    <row r="11" spans="1:8" x14ac:dyDescent="0.2">
      <c r="A11" s="26" t="s">
        <v>10</v>
      </c>
      <c r="B11" s="29"/>
      <c r="C11" s="29"/>
      <c r="D11" s="29"/>
      <c r="F11" s="13"/>
    </row>
    <row r="12" spans="1:8" x14ac:dyDescent="0.2">
      <c r="A12" s="26" t="s">
        <v>11</v>
      </c>
      <c r="B12" s="29"/>
      <c r="C12" s="29"/>
      <c r="D12" s="29"/>
      <c r="F12" s="13"/>
    </row>
    <row r="13" spans="1:8" x14ac:dyDescent="0.2">
      <c r="A13" s="26" t="s">
        <v>12</v>
      </c>
      <c r="B13" s="29"/>
      <c r="C13" s="29"/>
      <c r="D13" s="29"/>
    </row>
    <row r="14" spans="1:8" x14ac:dyDescent="0.2">
      <c r="A14" s="26" t="s">
        <v>13</v>
      </c>
      <c r="B14" s="29"/>
      <c r="C14" s="29"/>
      <c r="D14" s="29"/>
      <c r="F14" s="13"/>
    </row>
    <row r="15" spans="1:8" x14ac:dyDescent="0.2">
      <c r="A15" s="26" t="s">
        <v>14</v>
      </c>
      <c r="B15" s="29"/>
      <c r="C15" s="29"/>
      <c r="D15" s="29"/>
    </row>
    <row r="16" spans="1:8" x14ac:dyDescent="0.2">
      <c r="A16" s="26" t="s">
        <v>15</v>
      </c>
      <c r="B16" s="29"/>
      <c r="C16" s="29"/>
      <c r="D16" s="29"/>
    </row>
    <row r="17" spans="1:5" x14ac:dyDescent="0.2">
      <c r="A17" s="26" t="s">
        <v>16</v>
      </c>
      <c r="B17" s="29"/>
      <c r="C17" s="29"/>
      <c r="D17" s="29"/>
    </row>
    <row r="18" spans="1:5" x14ac:dyDescent="0.2">
      <c r="A18" s="11" t="s">
        <v>17</v>
      </c>
      <c r="B18" s="31">
        <f t="shared" ref="B18:D18" si="0">SUM(B11:B17)</f>
        <v>0</v>
      </c>
      <c r="C18" s="31">
        <f t="shared" si="0"/>
        <v>0</v>
      </c>
      <c r="D18" s="31">
        <f t="shared" si="0"/>
        <v>0</v>
      </c>
    </row>
    <row r="19" spans="1:5" x14ac:dyDescent="0.2">
      <c r="A19" s="25"/>
      <c r="B19" s="29"/>
      <c r="C19" s="29"/>
      <c r="D19" s="29"/>
    </row>
    <row r="20" spans="1:5" x14ac:dyDescent="0.2">
      <c r="A20" s="12" t="s">
        <v>18</v>
      </c>
      <c r="B20" s="31"/>
      <c r="C20" s="31"/>
      <c r="D20" s="31"/>
      <c r="E20" s="6"/>
    </row>
    <row r="21" spans="1:5" x14ac:dyDescent="0.2">
      <c r="A21" s="25"/>
      <c r="B21" s="29"/>
      <c r="C21" s="29"/>
      <c r="D21" s="29"/>
    </row>
    <row r="22" spans="1:5" x14ac:dyDescent="0.2">
      <c r="A22" s="5" t="s">
        <v>19</v>
      </c>
      <c r="B22" s="31"/>
      <c r="C22" s="31"/>
      <c r="D22" s="31"/>
    </row>
    <row r="23" spans="1:5" x14ac:dyDescent="0.2">
      <c r="A23" s="25"/>
      <c r="B23" s="29"/>
      <c r="C23" s="29"/>
      <c r="D23" s="29"/>
    </row>
    <row r="24" spans="1:5" x14ac:dyDescent="0.2">
      <c r="A24" s="5" t="s">
        <v>20</v>
      </c>
      <c r="B24" s="29"/>
      <c r="C24" s="29"/>
      <c r="D24" s="29"/>
    </row>
    <row r="25" spans="1:5" x14ac:dyDescent="0.2">
      <c r="A25" s="26" t="s">
        <v>21</v>
      </c>
      <c r="B25" s="29"/>
      <c r="C25" s="29"/>
      <c r="D25" s="29"/>
      <c r="E25" s="22"/>
    </row>
    <row r="26" spans="1:5" x14ac:dyDescent="0.2">
      <c r="A26" s="26" t="s">
        <v>22</v>
      </c>
      <c r="B26" s="29"/>
      <c r="C26" s="29"/>
      <c r="D26" s="29"/>
    </row>
    <row r="27" spans="1:5" x14ac:dyDescent="0.2">
      <c r="A27" s="26" t="s">
        <v>23</v>
      </c>
      <c r="B27" s="29"/>
      <c r="C27" s="29"/>
      <c r="D27" s="29"/>
    </row>
    <row r="28" spans="1:5" x14ac:dyDescent="0.2">
      <c r="A28" s="11" t="s">
        <v>17</v>
      </c>
      <c r="B28" s="31">
        <f>SUM(B25:B27)</f>
        <v>0</v>
      </c>
      <c r="C28" s="31">
        <f>SUM(C25:C27)</f>
        <v>0</v>
      </c>
      <c r="D28" s="31">
        <f>SUM(D25:D27)</f>
        <v>0</v>
      </c>
    </row>
    <row r="29" spans="1:5" x14ac:dyDescent="0.2">
      <c r="A29" s="25"/>
      <c r="B29" s="29"/>
      <c r="C29" s="29"/>
      <c r="D29" s="29"/>
    </row>
    <row r="30" spans="1:5" x14ac:dyDescent="0.2">
      <c r="A30" s="12" t="s">
        <v>24</v>
      </c>
      <c r="B30" s="29"/>
      <c r="C30" s="29"/>
      <c r="D30" s="29"/>
    </row>
    <row r="31" spans="1:5" x14ac:dyDescent="0.2">
      <c r="A31" s="26" t="s">
        <v>25</v>
      </c>
      <c r="B31" s="29"/>
      <c r="C31" s="29"/>
      <c r="D31" s="29"/>
    </row>
    <row r="32" spans="1:5" x14ac:dyDescent="0.2">
      <c r="A32" s="26" t="s">
        <v>26</v>
      </c>
      <c r="B32" s="29"/>
      <c r="C32" s="29"/>
      <c r="D32" s="29"/>
    </row>
    <row r="33" spans="1:6" x14ac:dyDescent="0.2">
      <c r="A33" s="26" t="s">
        <v>27</v>
      </c>
      <c r="B33" s="29"/>
      <c r="C33" s="29"/>
      <c r="D33" s="29"/>
    </row>
    <row r="34" spans="1:6" x14ac:dyDescent="0.2">
      <c r="A34" s="26" t="s">
        <v>28</v>
      </c>
      <c r="B34" s="29"/>
      <c r="C34" s="29"/>
      <c r="D34" s="29"/>
    </row>
    <row r="35" spans="1:6" x14ac:dyDescent="0.2">
      <c r="A35" s="11" t="s">
        <v>17</v>
      </c>
      <c r="B35" s="31">
        <f>SUM(B31:B34)</f>
        <v>0</v>
      </c>
      <c r="C35" s="31">
        <f t="shared" ref="C35:D35" si="1">SUM(C31:C34)</f>
        <v>0</v>
      </c>
      <c r="D35" s="31">
        <f t="shared" si="1"/>
        <v>0</v>
      </c>
    </row>
    <row r="36" spans="1:6" x14ac:dyDescent="0.2">
      <c r="A36" s="25"/>
      <c r="B36" s="29"/>
      <c r="C36" s="29"/>
      <c r="D36" s="29"/>
    </row>
    <row r="37" spans="1:6" x14ac:dyDescent="0.2">
      <c r="A37" s="5" t="s">
        <v>29</v>
      </c>
      <c r="B37" s="31">
        <f t="shared" ref="B37:D37" si="2">B8*2.9%</f>
        <v>7912.5629999999992</v>
      </c>
      <c r="C37" s="31">
        <f t="shared" si="2"/>
        <v>10185.611999999999</v>
      </c>
      <c r="D37" s="31">
        <f t="shared" si="2"/>
        <v>13139.261999999999</v>
      </c>
    </row>
    <row r="38" spans="1:6" x14ac:dyDescent="0.2">
      <c r="A38" s="25"/>
      <c r="B38" s="29"/>
      <c r="C38" s="29"/>
      <c r="D38" s="29"/>
    </row>
    <row r="39" spans="1:6" x14ac:dyDescent="0.2">
      <c r="A39" s="5" t="s">
        <v>30</v>
      </c>
      <c r="B39" s="31"/>
      <c r="C39" s="31"/>
      <c r="D39" s="31"/>
    </row>
    <row r="40" spans="1:6" x14ac:dyDescent="0.2">
      <c r="B40" s="32"/>
      <c r="C40" s="32"/>
      <c r="D40" s="32"/>
    </row>
    <row r="41" spans="1:6" x14ac:dyDescent="0.2">
      <c r="A41" s="5" t="s">
        <v>31</v>
      </c>
      <c r="B41" s="31"/>
      <c r="C41" s="31"/>
      <c r="D41" s="31"/>
      <c r="F41" s="13"/>
    </row>
    <row r="42" spans="1:6" x14ac:dyDescent="0.2">
      <c r="B42" s="32"/>
      <c r="C42" s="32"/>
      <c r="D42" s="32"/>
    </row>
    <row r="43" spans="1:6" x14ac:dyDescent="0.2">
      <c r="A43" s="20" t="s">
        <v>32</v>
      </c>
      <c r="B43" s="30">
        <f t="shared" ref="B43:D43" si="3">B41+B39+B35+B28+B20+B18+B22+B37</f>
        <v>7912.5629999999992</v>
      </c>
      <c r="C43" s="30">
        <f t="shared" si="3"/>
        <v>10185.611999999999</v>
      </c>
      <c r="D43" s="30">
        <f t="shared" si="3"/>
        <v>13139.261999999999</v>
      </c>
    </row>
    <row r="44" spans="1:6" x14ac:dyDescent="0.2">
      <c r="F44" s="13"/>
    </row>
    <row r="45" spans="1:6" x14ac:dyDescent="0.2">
      <c r="A45" s="25"/>
      <c r="B45" s="27">
        <v>0.08</v>
      </c>
      <c r="C45" s="27">
        <v>0.09</v>
      </c>
      <c r="D45" s="27">
        <v>0.1</v>
      </c>
    </row>
    <row r="46" spans="1:6" x14ac:dyDescent="0.2">
      <c r="A46" s="12" t="s">
        <v>33</v>
      </c>
      <c r="B46" s="33">
        <f>B8*B45</f>
        <v>21827.760000000002</v>
      </c>
      <c r="C46" s="33">
        <f>C8*C45</f>
        <v>31610.52</v>
      </c>
      <c r="D46" s="33">
        <f>D8*D45</f>
        <v>45307.8</v>
      </c>
    </row>
    <row r="47" spans="1:6" x14ac:dyDescent="0.2">
      <c r="B47" s="34"/>
      <c r="C47" s="34"/>
      <c r="D47" s="34"/>
    </row>
    <row r="48" spans="1:6" x14ac:dyDescent="0.2">
      <c r="A48" s="25"/>
      <c r="B48" s="35"/>
      <c r="C48" s="35"/>
      <c r="D48" s="35"/>
    </row>
    <row r="49" spans="1:4" x14ac:dyDescent="0.2">
      <c r="A49" s="20" t="s">
        <v>34</v>
      </c>
      <c r="B49" s="36">
        <f t="shared" ref="B49:D49" si="4">B43+B46</f>
        <v>29740.323</v>
      </c>
      <c r="C49" s="36">
        <f>C43+C46</f>
        <v>41796.131999999998</v>
      </c>
      <c r="D49" s="36">
        <f t="shared" si="4"/>
        <v>58447.062000000005</v>
      </c>
    </row>
    <row r="50" spans="1:4" x14ac:dyDescent="0.2">
      <c r="A50" s="12"/>
      <c r="B50" s="37"/>
      <c r="C50" s="37"/>
      <c r="D50" s="37"/>
    </row>
    <row r="51" spans="1:4" x14ac:dyDescent="0.2">
      <c r="B51" s="34"/>
      <c r="C51" s="34"/>
      <c r="D51" s="34"/>
    </row>
    <row r="52" spans="1:4" ht="16" x14ac:dyDescent="0.2">
      <c r="A52" s="18" t="s">
        <v>35</v>
      </c>
      <c r="B52" s="38">
        <f>B8-B49</f>
        <v>243106.677</v>
      </c>
      <c r="C52" s="38">
        <f>C8-C49</f>
        <v>309431.86800000002</v>
      </c>
      <c r="D52" s="38">
        <f>D8-D49</f>
        <v>394630.93799999997</v>
      </c>
    </row>
  </sheetData>
  <mergeCells count="1">
    <mergeCell ref="F2:H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zoomScale="130" zoomScaleNormal="130" workbookViewId="0">
      <selection activeCell="B22" sqref="B22"/>
    </sheetView>
  </sheetViews>
  <sheetFormatPr baseColWidth="10" defaultColWidth="8.83203125" defaultRowHeight="15" x14ac:dyDescent="0.2"/>
  <cols>
    <col min="1" max="1" width="69.83203125" customWidth="1"/>
    <col min="2" max="2" width="19.5" style="6" bestFit="1" customWidth="1"/>
    <col min="3" max="3" width="12" customWidth="1"/>
    <col min="4" max="4" width="12" bestFit="1" customWidth="1"/>
    <col min="5" max="5" width="15" customWidth="1"/>
    <col min="6" max="6" width="22" customWidth="1"/>
    <col min="7" max="7" width="11" bestFit="1" customWidth="1"/>
  </cols>
  <sheetData>
    <row r="1" spans="1:7" x14ac:dyDescent="0.2">
      <c r="D1" t="s">
        <v>36</v>
      </c>
    </row>
    <row r="2" spans="1:7" x14ac:dyDescent="0.2">
      <c r="A2" s="3" t="s">
        <v>37</v>
      </c>
      <c r="B2" s="7" t="e">
        <f>'Reg Income Projection'!#REF!</f>
        <v>#REF!</v>
      </c>
      <c r="G2" s="1"/>
    </row>
    <row r="3" spans="1:7" x14ac:dyDescent="0.2">
      <c r="A3" s="4" t="s">
        <v>38</v>
      </c>
      <c r="G3" s="1"/>
    </row>
    <row r="4" spans="1:7" x14ac:dyDescent="0.2">
      <c r="A4" t="s">
        <v>39</v>
      </c>
      <c r="B4" s="6" t="e">
        <f>#REF!</f>
        <v>#REF!</v>
      </c>
      <c r="G4" s="1"/>
    </row>
    <row r="5" spans="1:7" x14ac:dyDescent="0.2">
      <c r="A5" t="s">
        <v>40</v>
      </c>
      <c r="B5" s="6" t="e">
        <f>#REF!</f>
        <v>#REF!</v>
      </c>
      <c r="G5" s="1"/>
    </row>
    <row r="6" spans="1:7" x14ac:dyDescent="0.2">
      <c r="A6" t="s">
        <v>41</v>
      </c>
      <c r="B6" s="6" t="e">
        <f>#REF!</f>
        <v>#REF!</v>
      </c>
    </row>
    <row r="7" spans="1:7" x14ac:dyDescent="0.2">
      <c r="A7" t="s">
        <v>42</v>
      </c>
      <c r="B7" s="6" t="e">
        <f>#REF!</f>
        <v>#REF!</v>
      </c>
      <c r="G7" s="2"/>
    </row>
    <row r="8" spans="1:7" x14ac:dyDescent="0.2">
      <c r="A8" t="s">
        <v>43</v>
      </c>
      <c r="B8" s="6">
        <v>15000</v>
      </c>
      <c r="G8" s="2"/>
    </row>
    <row r="9" spans="1:7" x14ac:dyDescent="0.2">
      <c r="A9" t="s">
        <v>44</v>
      </c>
      <c r="B9" s="6">
        <v>103950</v>
      </c>
      <c r="C9" s="22"/>
    </row>
    <row r="10" spans="1:7" x14ac:dyDescent="0.2">
      <c r="A10" t="s">
        <v>45</v>
      </c>
      <c r="B10" s="6" t="e">
        <f>B2*7%</f>
        <v>#REF!</v>
      </c>
    </row>
    <row r="11" spans="1:7" ht="24" x14ac:dyDescent="0.3">
      <c r="A11" t="s">
        <v>46</v>
      </c>
      <c r="B11" s="8" t="e">
        <f>(SUM(B4:B10))</f>
        <v>#REF!</v>
      </c>
      <c r="C11" s="22"/>
    </row>
    <row r="12" spans="1:7" x14ac:dyDescent="0.2">
      <c r="A12" t="s">
        <v>47</v>
      </c>
      <c r="B12" s="9" t="e">
        <f>(B2-B11)</f>
        <v>#REF!</v>
      </c>
      <c r="D12" s="22"/>
    </row>
    <row r="15" spans="1:7" x14ac:dyDescent="0.2">
      <c r="A15" s="3" t="s">
        <v>48</v>
      </c>
      <c r="B15" s="7">
        <v>460800</v>
      </c>
      <c r="G15" s="1"/>
    </row>
    <row r="16" spans="1:7" x14ac:dyDescent="0.2">
      <c r="A16" s="4" t="s">
        <v>38</v>
      </c>
      <c r="G16" s="1"/>
    </row>
    <row r="17" spans="1:7" x14ac:dyDescent="0.2">
      <c r="A17" t="s">
        <v>39</v>
      </c>
      <c r="B17" s="6" t="e">
        <f>#REF!</f>
        <v>#REF!</v>
      </c>
      <c r="G17" s="1"/>
    </row>
    <row r="18" spans="1:7" x14ac:dyDescent="0.2">
      <c r="A18" t="s">
        <v>40</v>
      </c>
      <c r="B18" s="6" t="e">
        <f>#REF!</f>
        <v>#REF!</v>
      </c>
      <c r="G18" s="1"/>
    </row>
    <row r="19" spans="1:7" x14ac:dyDescent="0.2">
      <c r="A19" t="s">
        <v>41</v>
      </c>
      <c r="B19" s="6" t="e">
        <f>#REF!</f>
        <v>#REF!</v>
      </c>
    </row>
    <row r="20" spans="1:7" x14ac:dyDescent="0.2">
      <c r="A20" t="s">
        <v>42</v>
      </c>
      <c r="B20" s="6" t="e">
        <f>#REF!</f>
        <v>#REF!</v>
      </c>
      <c r="G20" s="2"/>
    </row>
    <row r="21" spans="1:7" x14ac:dyDescent="0.2">
      <c r="A21" t="s">
        <v>43</v>
      </c>
      <c r="B21" s="6">
        <v>15000</v>
      </c>
      <c r="G21" s="2"/>
    </row>
    <row r="22" spans="1:7" x14ac:dyDescent="0.2">
      <c r="A22" t="s">
        <v>44</v>
      </c>
      <c r="B22" s="6">
        <v>82500</v>
      </c>
      <c r="C22" s="6"/>
    </row>
    <row r="23" spans="1:7" x14ac:dyDescent="0.2">
      <c r="A23" t="s">
        <v>45</v>
      </c>
      <c r="B23" s="6">
        <f>B15*7%</f>
        <v>32256.000000000004</v>
      </c>
      <c r="C23" s="6"/>
    </row>
    <row r="24" spans="1:7" ht="24" x14ac:dyDescent="0.3">
      <c r="A24" t="s">
        <v>49</v>
      </c>
      <c r="B24" s="8" t="e">
        <f>(SUM(B17:B23))</f>
        <v>#REF!</v>
      </c>
    </row>
    <row r="25" spans="1:7" x14ac:dyDescent="0.2">
      <c r="A25" t="s">
        <v>47</v>
      </c>
      <c r="B25" s="9" t="e">
        <f>(B15-B24)</f>
        <v>#REF!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topLeftCell="A10" zoomScale="125" zoomScaleNormal="125" workbookViewId="0">
      <selection activeCell="L38" sqref="L38"/>
    </sheetView>
  </sheetViews>
  <sheetFormatPr baseColWidth="10" defaultColWidth="8.83203125" defaultRowHeight="16" x14ac:dyDescent="0.2"/>
  <cols>
    <col min="1" max="1" width="29" style="24" bestFit="1" customWidth="1"/>
    <col min="2" max="5" width="8.6640625" style="40" bestFit="1" customWidth="1"/>
    <col min="6" max="6" width="2.5" customWidth="1"/>
    <col min="7" max="7" width="5.83203125" bestFit="1" customWidth="1"/>
    <col min="8" max="8" width="8.5" bestFit="1" customWidth="1"/>
    <col min="9" max="9" width="5.6640625" bestFit="1" customWidth="1"/>
    <col min="10" max="10" width="4.5" bestFit="1" customWidth="1"/>
    <col min="11" max="11" width="6.6640625" bestFit="1" customWidth="1"/>
    <col min="12" max="12" width="5.1640625" bestFit="1" customWidth="1"/>
    <col min="13" max="13" width="5.5" bestFit="1" customWidth="1"/>
    <col min="14" max="14" width="2.5" customWidth="1"/>
    <col min="15" max="16" width="12.1640625" style="40" bestFit="1" customWidth="1"/>
    <col min="17" max="17" width="11.1640625" style="40" bestFit="1" customWidth="1"/>
    <col min="18" max="18" width="10.1640625" style="40" bestFit="1" customWidth="1"/>
    <col min="19" max="19" width="12.33203125" style="41" bestFit="1" customWidth="1"/>
  </cols>
  <sheetData>
    <row r="1" spans="1:19" x14ac:dyDescent="0.2">
      <c r="A1" s="44"/>
      <c r="B1" s="45" t="s">
        <v>1</v>
      </c>
      <c r="C1" s="45" t="s">
        <v>50</v>
      </c>
      <c r="D1" s="45" t="s">
        <v>4</v>
      </c>
      <c r="E1" s="45" t="s">
        <v>51</v>
      </c>
      <c r="F1" s="46"/>
      <c r="G1" s="46"/>
      <c r="H1" s="47" t="s">
        <v>1</v>
      </c>
      <c r="I1" s="47" t="s">
        <v>50</v>
      </c>
      <c r="J1" s="47" t="s">
        <v>4</v>
      </c>
      <c r="K1" s="47" t="s">
        <v>51</v>
      </c>
      <c r="L1" s="47"/>
      <c r="M1" s="46"/>
      <c r="N1" s="46"/>
      <c r="O1" s="45" t="s">
        <v>1</v>
      </c>
      <c r="P1" s="45" t="s">
        <v>50</v>
      </c>
      <c r="Q1" s="45" t="s">
        <v>4</v>
      </c>
      <c r="R1" s="45" t="s">
        <v>51</v>
      </c>
      <c r="S1" s="48"/>
    </row>
    <row r="2" spans="1:19" x14ac:dyDescent="0.2">
      <c r="A2" s="16" t="s">
        <v>52</v>
      </c>
      <c r="B2" s="39">
        <v>540</v>
      </c>
      <c r="C2" s="39">
        <v>610</v>
      </c>
      <c r="D2" s="39">
        <v>670</v>
      </c>
      <c r="E2" s="39">
        <v>690</v>
      </c>
      <c r="F2" s="10"/>
      <c r="H2" s="14">
        <v>95</v>
      </c>
      <c r="I2">
        <v>80</v>
      </c>
      <c r="J2">
        <v>10</v>
      </c>
      <c r="K2">
        <v>2</v>
      </c>
      <c r="L2" s="14">
        <f>SUM(H2:K2)</f>
        <v>187</v>
      </c>
      <c r="M2" s="21">
        <f t="shared" ref="M2:M9" si="0">L2/$L$10</f>
        <v>0.31166666666666665</v>
      </c>
      <c r="N2" s="21"/>
      <c r="O2" s="42">
        <f>(B2*H2)</f>
        <v>51300</v>
      </c>
      <c r="P2" s="42">
        <f>(C2*I2)</f>
        <v>48800</v>
      </c>
      <c r="Q2" s="42">
        <f>(D2*J2)</f>
        <v>6700</v>
      </c>
      <c r="R2" s="42">
        <f>(E2*K2)</f>
        <v>1380</v>
      </c>
      <c r="S2" s="43"/>
    </row>
    <row r="3" spans="1:19" x14ac:dyDescent="0.2">
      <c r="A3" s="17" t="s">
        <v>53</v>
      </c>
      <c r="B3" s="39">
        <v>275</v>
      </c>
      <c r="C3" s="39">
        <v>300</v>
      </c>
      <c r="D3" s="39">
        <v>325</v>
      </c>
      <c r="E3" s="39">
        <v>350</v>
      </c>
      <c r="H3" s="14">
        <v>7</v>
      </c>
      <c r="I3">
        <v>6</v>
      </c>
      <c r="J3">
        <v>0</v>
      </c>
      <c r="K3">
        <v>0</v>
      </c>
      <c r="L3" s="14">
        <f>SUM(H3:K3)</f>
        <v>13</v>
      </c>
      <c r="M3" s="21">
        <f t="shared" si="0"/>
        <v>2.1666666666666667E-2</v>
      </c>
      <c r="N3" s="21"/>
      <c r="O3" s="42">
        <f>(B3*H3)</f>
        <v>1925</v>
      </c>
      <c r="P3" s="42">
        <f t="shared" ref="P3:R3" si="1">(C3*I3)</f>
        <v>1800</v>
      </c>
      <c r="Q3" s="42">
        <f t="shared" si="1"/>
        <v>0</v>
      </c>
      <c r="R3" s="42">
        <f t="shared" si="1"/>
        <v>0</v>
      </c>
    </row>
    <row r="4" spans="1:19" x14ac:dyDescent="0.2">
      <c r="A4" s="24" t="s">
        <v>54</v>
      </c>
      <c r="B4" s="39">
        <v>240</v>
      </c>
      <c r="C4" s="39">
        <v>290</v>
      </c>
      <c r="D4" s="39">
        <f>290+50</f>
        <v>340</v>
      </c>
      <c r="E4" s="39">
        <f>340+50</f>
        <v>390</v>
      </c>
      <c r="H4" s="14">
        <v>50</v>
      </c>
      <c r="I4">
        <v>27</v>
      </c>
      <c r="J4">
        <v>8</v>
      </c>
      <c r="K4">
        <v>0</v>
      </c>
      <c r="L4" s="14">
        <f>SUM(H4:K4)</f>
        <v>85</v>
      </c>
      <c r="M4" s="21">
        <f t="shared" si="0"/>
        <v>0.14166666666666666</v>
      </c>
      <c r="N4" s="21"/>
      <c r="O4" s="40">
        <f>(B4*H4)</f>
        <v>12000</v>
      </c>
      <c r="P4" s="40">
        <f>(C4*I4)</f>
        <v>7830</v>
      </c>
      <c r="Q4" s="40">
        <f>(D4*J4)</f>
        <v>2720</v>
      </c>
      <c r="R4" s="40">
        <f>(E4*K4)</f>
        <v>0</v>
      </c>
    </row>
    <row r="5" spans="1:19" x14ac:dyDescent="0.2">
      <c r="A5" s="16" t="s">
        <v>55</v>
      </c>
      <c r="B5" s="39">
        <v>640</v>
      </c>
      <c r="C5" s="39">
        <v>710</v>
      </c>
      <c r="D5" s="39">
        <v>770</v>
      </c>
      <c r="E5" s="39">
        <v>790</v>
      </c>
      <c r="H5" s="14">
        <v>80</v>
      </c>
      <c r="I5">
        <v>55</v>
      </c>
      <c r="J5">
        <v>5</v>
      </c>
      <c r="K5">
        <v>1</v>
      </c>
      <c r="L5" s="14">
        <f>SUM(H5:K5)</f>
        <v>141</v>
      </c>
      <c r="M5" s="21">
        <f t="shared" si="0"/>
        <v>0.23499999999999999</v>
      </c>
      <c r="N5" s="21"/>
      <c r="O5" s="42">
        <f>H5*B5</f>
        <v>51200</v>
      </c>
      <c r="P5" s="42">
        <f>I5*C5</f>
        <v>39050</v>
      </c>
      <c r="Q5" s="42">
        <f>J5*D5</f>
        <v>3850</v>
      </c>
      <c r="R5" s="42">
        <f>K5*E5</f>
        <v>790</v>
      </c>
      <c r="S5" s="43"/>
    </row>
    <row r="6" spans="1:19" x14ac:dyDescent="0.2">
      <c r="A6" s="17" t="s">
        <v>56</v>
      </c>
      <c r="B6" s="39">
        <v>300</v>
      </c>
      <c r="C6" s="39">
        <v>330</v>
      </c>
      <c r="D6" s="39">
        <v>380</v>
      </c>
      <c r="E6" s="39">
        <v>450</v>
      </c>
      <c r="H6" s="14">
        <v>13</v>
      </c>
      <c r="I6">
        <v>3</v>
      </c>
      <c r="J6">
        <v>1</v>
      </c>
      <c r="K6">
        <v>0</v>
      </c>
      <c r="L6" s="14">
        <f t="shared" ref="L6:L8" si="2">SUM(H6:K6)</f>
        <v>17</v>
      </c>
      <c r="M6" s="21">
        <f t="shared" si="0"/>
        <v>2.8333333333333332E-2</v>
      </c>
      <c r="N6" s="21"/>
      <c r="O6" s="40">
        <f>H6*B6</f>
        <v>3900</v>
      </c>
      <c r="P6" s="40">
        <f t="shared" ref="P6" si="3">I6*C6</f>
        <v>990</v>
      </c>
      <c r="Q6" s="40">
        <f t="shared" ref="Q6" si="4">J6*D6</f>
        <v>380</v>
      </c>
      <c r="R6" s="40">
        <f t="shared" ref="R6" si="5">K6*E6</f>
        <v>0</v>
      </c>
    </row>
    <row r="7" spans="1:19" x14ac:dyDescent="0.2">
      <c r="A7" s="16" t="s">
        <v>57</v>
      </c>
      <c r="B7" s="39">
        <v>340</v>
      </c>
      <c r="C7" s="39">
        <v>390</v>
      </c>
      <c r="D7" s="39">
        <v>440</v>
      </c>
      <c r="E7" s="39">
        <v>540</v>
      </c>
      <c r="H7" s="14">
        <v>56</v>
      </c>
      <c r="I7">
        <v>30</v>
      </c>
      <c r="J7">
        <v>8</v>
      </c>
      <c r="K7">
        <v>1</v>
      </c>
      <c r="L7" s="14">
        <f t="shared" si="2"/>
        <v>95</v>
      </c>
      <c r="M7" s="21">
        <f t="shared" si="0"/>
        <v>0.15833333333333333</v>
      </c>
      <c r="N7" s="21"/>
      <c r="O7" s="42">
        <f t="shared" ref="O7:R8" si="6">(B7*H7)</f>
        <v>19040</v>
      </c>
      <c r="P7" s="42">
        <f t="shared" si="6"/>
        <v>11700</v>
      </c>
      <c r="Q7" s="42">
        <f t="shared" si="6"/>
        <v>3520</v>
      </c>
      <c r="R7" s="42">
        <f t="shared" si="6"/>
        <v>540</v>
      </c>
      <c r="S7" s="43"/>
    </row>
    <row r="8" spans="1:19" x14ac:dyDescent="0.2">
      <c r="A8" s="17" t="s">
        <v>58</v>
      </c>
      <c r="B8" s="39">
        <f>B2*40%</f>
        <v>216</v>
      </c>
      <c r="C8" s="39">
        <f>C2*40%</f>
        <v>244</v>
      </c>
      <c r="D8" s="39">
        <f>D2*40%</f>
        <v>268</v>
      </c>
      <c r="E8" s="39">
        <f>E2*40%</f>
        <v>276</v>
      </c>
      <c r="H8" s="14">
        <v>9</v>
      </c>
      <c r="I8">
        <v>5</v>
      </c>
      <c r="J8">
        <v>1</v>
      </c>
      <c r="K8">
        <v>0</v>
      </c>
      <c r="L8" s="14">
        <f t="shared" si="2"/>
        <v>15</v>
      </c>
      <c r="M8" s="21">
        <f t="shared" si="0"/>
        <v>2.5000000000000001E-2</v>
      </c>
      <c r="N8" s="21"/>
      <c r="O8" s="40">
        <f t="shared" si="6"/>
        <v>1944</v>
      </c>
      <c r="P8" s="40">
        <f t="shared" si="6"/>
        <v>1220</v>
      </c>
      <c r="Q8" s="40">
        <f t="shared" si="6"/>
        <v>268</v>
      </c>
      <c r="R8" s="40">
        <f t="shared" si="6"/>
        <v>0</v>
      </c>
    </row>
    <row r="9" spans="1:19" x14ac:dyDescent="0.2">
      <c r="A9" s="17" t="s">
        <v>59</v>
      </c>
      <c r="B9" s="39">
        <v>0</v>
      </c>
      <c r="C9" s="39">
        <v>0</v>
      </c>
      <c r="D9" s="39">
        <v>0</v>
      </c>
      <c r="E9" s="39">
        <v>0</v>
      </c>
      <c r="G9" s="14"/>
      <c r="H9" s="14">
        <v>47</v>
      </c>
      <c r="I9" s="14">
        <v>0</v>
      </c>
      <c r="J9" s="14">
        <v>0</v>
      </c>
      <c r="K9" s="14">
        <v>0</v>
      </c>
      <c r="L9" s="14">
        <f t="shared" ref="L9" si="7">SUM(H9:K9)</f>
        <v>47</v>
      </c>
      <c r="M9" s="21">
        <f t="shared" si="0"/>
        <v>7.8333333333333338E-2</v>
      </c>
      <c r="O9" s="40">
        <f>H9*B9</f>
        <v>0</v>
      </c>
      <c r="P9" s="40">
        <f t="shared" ref="P9" si="8">I9*C9</f>
        <v>0</v>
      </c>
      <c r="Q9" s="40">
        <f t="shared" ref="Q9" si="9">J9*D9</f>
        <v>0</v>
      </c>
      <c r="R9" s="40">
        <f t="shared" ref="R9" si="10">K9*E9</f>
        <v>0</v>
      </c>
    </row>
    <row r="10" spans="1:19" x14ac:dyDescent="0.2">
      <c r="G10" t="s">
        <v>17</v>
      </c>
      <c r="H10" s="14">
        <f>SUM(H2:H9)</f>
        <v>357</v>
      </c>
      <c r="I10" s="14">
        <f>SUM(I2:I9)</f>
        <v>206</v>
      </c>
      <c r="J10" s="14">
        <f>SUM(J2:J9)</f>
        <v>33</v>
      </c>
      <c r="K10" s="14">
        <f>SUM(K2:K9)</f>
        <v>4</v>
      </c>
      <c r="L10" s="5">
        <f>SUM(H10:K10)</f>
        <v>600</v>
      </c>
      <c r="M10" s="21"/>
      <c r="N10" s="21"/>
      <c r="O10" s="40">
        <f>SUM(O2:O8)</f>
        <v>141309</v>
      </c>
      <c r="P10" s="40">
        <f>SUM(P2:P8)</f>
        <v>111390</v>
      </c>
      <c r="Q10" s="40">
        <f>SUM(Q2:Q8)</f>
        <v>17438</v>
      </c>
      <c r="R10" s="40">
        <f>SUM(R2:R8)</f>
        <v>2710</v>
      </c>
      <c r="S10" s="41">
        <f>SUM(O10:R10)</f>
        <v>272847</v>
      </c>
    </row>
    <row r="13" spans="1:19" x14ac:dyDescent="0.2">
      <c r="A13" s="44"/>
      <c r="B13" s="45" t="s">
        <v>1</v>
      </c>
      <c r="C13" s="45" t="s">
        <v>50</v>
      </c>
      <c r="D13" s="45" t="s">
        <v>4</v>
      </c>
      <c r="E13" s="45" t="s">
        <v>51</v>
      </c>
      <c r="F13" s="46"/>
      <c r="G13" s="46"/>
      <c r="H13" s="47" t="s">
        <v>1</v>
      </c>
      <c r="I13" s="47" t="s">
        <v>50</v>
      </c>
      <c r="J13" s="47" t="s">
        <v>4</v>
      </c>
      <c r="K13" s="47" t="s">
        <v>51</v>
      </c>
      <c r="L13" s="47"/>
      <c r="M13" s="46"/>
      <c r="N13" s="46"/>
      <c r="O13" s="45" t="s">
        <v>1</v>
      </c>
      <c r="P13" s="45" t="s">
        <v>50</v>
      </c>
      <c r="Q13" s="45" t="s">
        <v>4</v>
      </c>
      <c r="R13" s="45" t="s">
        <v>51</v>
      </c>
      <c r="S13" s="48"/>
    </row>
    <row r="14" spans="1:19" x14ac:dyDescent="0.2">
      <c r="A14" s="16" t="s">
        <v>52</v>
      </c>
      <c r="B14" s="39">
        <v>540</v>
      </c>
      <c r="C14" s="39">
        <v>610</v>
      </c>
      <c r="D14" s="39">
        <v>670</v>
      </c>
      <c r="E14" s="39">
        <v>690</v>
      </c>
      <c r="F14" s="10"/>
      <c r="H14" s="14">
        <v>150</v>
      </c>
      <c r="I14" s="14">
        <v>70</v>
      </c>
      <c r="J14" s="14">
        <f>250*10%</f>
        <v>25</v>
      </c>
      <c r="K14" s="14">
        <v>1</v>
      </c>
      <c r="L14" s="14">
        <f>SUM(H14:K14)</f>
        <v>246</v>
      </c>
      <c r="M14" s="21">
        <f t="shared" ref="M14:M21" si="11">L14/$L$22</f>
        <v>0.3075</v>
      </c>
      <c r="O14" s="40">
        <f t="shared" ref="O14:R17" si="12">(B14*H14)</f>
        <v>81000</v>
      </c>
      <c r="P14" s="40">
        <f t="shared" si="12"/>
        <v>42700</v>
      </c>
      <c r="Q14" s="40">
        <f t="shared" si="12"/>
        <v>16750</v>
      </c>
      <c r="R14" s="40">
        <f t="shared" si="12"/>
        <v>690</v>
      </c>
    </row>
    <row r="15" spans="1:19" x14ac:dyDescent="0.2">
      <c r="A15" s="17" t="s">
        <v>53</v>
      </c>
      <c r="B15" s="39">
        <v>275</v>
      </c>
      <c r="C15" s="39">
        <v>300</v>
      </c>
      <c r="D15" s="39">
        <v>325</v>
      </c>
      <c r="E15" s="39">
        <v>350</v>
      </c>
      <c r="H15" s="14">
        <v>12</v>
      </c>
      <c r="I15" s="14">
        <v>5</v>
      </c>
      <c r="J15" s="14">
        <v>0</v>
      </c>
      <c r="K15" s="14">
        <v>0</v>
      </c>
      <c r="L15" s="14">
        <f>SUM(H15:K15)</f>
        <v>17</v>
      </c>
      <c r="M15" s="21">
        <f t="shared" si="11"/>
        <v>2.1250000000000002E-2</v>
      </c>
      <c r="O15" s="40">
        <f t="shared" si="12"/>
        <v>3300</v>
      </c>
      <c r="P15" s="40">
        <f t="shared" si="12"/>
        <v>1500</v>
      </c>
      <c r="Q15" s="40">
        <f t="shared" si="12"/>
        <v>0</v>
      </c>
      <c r="R15" s="40">
        <f t="shared" si="12"/>
        <v>0</v>
      </c>
    </row>
    <row r="16" spans="1:19" x14ac:dyDescent="0.2">
      <c r="A16" s="24" t="s">
        <v>54</v>
      </c>
      <c r="B16" s="39">
        <v>240</v>
      </c>
      <c r="C16" s="39">
        <v>290</v>
      </c>
      <c r="D16" s="39">
        <f>290+50</f>
        <v>340</v>
      </c>
      <c r="E16" s="39">
        <f>340+50</f>
        <v>390</v>
      </c>
      <c r="H16" s="14">
        <v>115</v>
      </c>
      <c r="I16" s="14">
        <v>30</v>
      </c>
      <c r="J16" s="14">
        <v>10</v>
      </c>
      <c r="K16" s="14">
        <v>0</v>
      </c>
      <c r="L16" s="14">
        <f>SUM(H16:K16)</f>
        <v>155</v>
      </c>
      <c r="M16" s="21">
        <f t="shared" si="11"/>
        <v>0.19375000000000001</v>
      </c>
      <c r="O16" s="40">
        <f t="shared" si="12"/>
        <v>27600</v>
      </c>
      <c r="P16" s="40">
        <f t="shared" si="12"/>
        <v>8700</v>
      </c>
      <c r="Q16" s="40">
        <f t="shared" si="12"/>
        <v>3400</v>
      </c>
      <c r="R16" s="40">
        <f t="shared" si="12"/>
        <v>0</v>
      </c>
    </row>
    <row r="17" spans="1:19" x14ac:dyDescent="0.2">
      <c r="A17" s="16" t="s">
        <v>55</v>
      </c>
      <c r="B17" s="39">
        <v>640</v>
      </c>
      <c r="C17" s="39">
        <v>710</v>
      </c>
      <c r="D17" s="39">
        <v>770</v>
      </c>
      <c r="E17" s="39">
        <v>790</v>
      </c>
      <c r="H17" s="14">
        <v>80</v>
      </c>
      <c r="I17" s="14">
        <v>60</v>
      </c>
      <c r="J17" s="14">
        <v>10</v>
      </c>
      <c r="K17" s="14">
        <v>1</v>
      </c>
      <c r="L17" s="14">
        <f t="shared" ref="L17:L20" si="13">SUM(H17:K17)</f>
        <v>151</v>
      </c>
      <c r="M17" s="21">
        <f t="shared" si="11"/>
        <v>0.18875</v>
      </c>
      <c r="O17" s="40">
        <f t="shared" si="12"/>
        <v>51200</v>
      </c>
      <c r="P17" s="40">
        <f t="shared" si="12"/>
        <v>42600</v>
      </c>
      <c r="Q17" s="40">
        <f t="shared" si="12"/>
        <v>7700</v>
      </c>
      <c r="R17" s="40">
        <f t="shared" si="12"/>
        <v>790</v>
      </c>
    </row>
    <row r="18" spans="1:19" x14ac:dyDescent="0.2">
      <c r="A18" s="17" t="s">
        <v>56</v>
      </c>
      <c r="B18" s="39">
        <v>300</v>
      </c>
      <c r="C18" s="39">
        <v>330</v>
      </c>
      <c r="D18" s="39">
        <v>380</v>
      </c>
      <c r="E18" s="39">
        <v>450</v>
      </c>
      <c r="H18" s="14">
        <v>13</v>
      </c>
      <c r="I18" s="14">
        <v>3</v>
      </c>
      <c r="J18" s="14">
        <v>1</v>
      </c>
      <c r="K18" s="14">
        <v>0</v>
      </c>
      <c r="L18" s="14">
        <f t="shared" si="13"/>
        <v>17</v>
      </c>
      <c r="M18" s="21">
        <f t="shared" si="11"/>
        <v>2.1250000000000002E-2</v>
      </c>
      <c r="O18" s="40">
        <f t="shared" ref="O18:O19" si="14">(B18*H18)</f>
        <v>3900</v>
      </c>
      <c r="P18" s="40">
        <f t="shared" ref="P18:P19" si="15">(C18*I18)</f>
        <v>990</v>
      </c>
      <c r="Q18" s="40">
        <f t="shared" ref="Q18:Q19" si="16">(D18*J18)</f>
        <v>380</v>
      </c>
      <c r="R18" s="40">
        <f t="shared" ref="R18:R19" si="17">(E18*K18)</f>
        <v>0</v>
      </c>
    </row>
    <row r="19" spans="1:19" x14ac:dyDescent="0.2">
      <c r="A19" s="16" t="s">
        <v>57</v>
      </c>
      <c r="B19" s="39">
        <v>340</v>
      </c>
      <c r="C19" s="39">
        <v>390</v>
      </c>
      <c r="D19" s="39">
        <v>440</v>
      </c>
      <c r="E19" s="39">
        <v>540</v>
      </c>
      <c r="H19" s="14">
        <v>95</v>
      </c>
      <c r="I19" s="14">
        <v>40</v>
      </c>
      <c r="J19" s="14">
        <v>10</v>
      </c>
      <c r="K19" s="14">
        <v>2</v>
      </c>
      <c r="L19" s="14">
        <f t="shared" si="13"/>
        <v>147</v>
      </c>
      <c r="M19" s="21">
        <f t="shared" si="11"/>
        <v>0.18375</v>
      </c>
      <c r="O19" s="40">
        <f t="shared" si="14"/>
        <v>32300</v>
      </c>
      <c r="P19" s="40">
        <f t="shared" si="15"/>
        <v>15600</v>
      </c>
      <c r="Q19" s="40">
        <f t="shared" si="16"/>
        <v>4400</v>
      </c>
      <c r="R19" s="40">
        <f t="shared" si="17"/>
        <v>1080</v>
      </c>
      <c r="S19" s="43"/>
    </row>
    <row r="20" spans="1:19" x14ac:dyDescent="0.2">
      <c r="A20" s="17" t="s">
        <v>58</v>
      </c>
      <c r="B20" s="39">
        <f>B14*40%</f>
        <v>216</v>
      </c>
      <c r="C20" s="39">
        <f>C14*40%</f>
        <v>244</v>
      </c>
      <c r="D20" s="39">
        <f>D14*40%</f>
        <v>268</v>
      </c>
      <c r="E20" s="39">
        <f>E14*40%</f>
        <v>276</v>
      </c>
      <c r="H20" s="14">
        <v>10</v>
      </c>
      <c r="I20" s="14">
        <v>8</v>
      </c>
      <c r="J20" s="14">
        <v>2</v>
      </c>
      <c r="K20" s="14">
        <v>0</v>
      </c>
      <c r="L20" s="14">
        <f t="shared" si="13"/>
        <v>20</v>
      </c>
      <c r="M20" s="21">
        <f t="shared" si="11"/>
        <v>2.5000000000000001E-2</v>
      </c>
      <c r="O20" s="40">
        <f t="shared" ref="O20" si="18">(B20*H20)</f>
        <v>2160</v>
      </c>
      <c r="P20" s="40">
        <f t="shared" ref="P20" si="19">(C20*I20)</f>
        <v>1952</v>
      </c>
      <c r="Q20" s="40">
        <f t="shared" ref="Q20" si="20">(D20*J20)</f>
        <v>536</v>
      </c>
      <c r="R20" s="40">
        <f t="shared" ref="R20" si="21">(E20*K20)</f>
        <v>0</v>
      </c>
    </row>
    <row r="21" spans="1:19" x14ac:dyDescent="0.2">
      <c r="A21" s="17" t="s">
        <v>59</v>
      </c>
      <c r="B21" s="39">
        <v>0</v>
      </c>
      <c r="C21" s="39">
        <v>0</v>
      </c>
      <c r="D21" s="39">
        <v>0</v>
      </c>
      <c r="E21" s="39">
        <v>0</v>
      </c>
      <c r="G21" s="14"/>
      <c r="H21" s="14">
        <v>47</v>
      </c>
      <c r="I21" s="14">
        <v>0</v>
      </c>
      <c r="J21" s="14">
        <v>0</v>
      </c>
      <c r="K21" s="14">
        <v>0</v>
      </c>
      <c r="L21" s="14">
        <f t="shared" ref="L21" si="22">SUM(H21:K21)</f>
        <v>47</v>
      </c>
      <c r="M21" s="21">
        <f t="shared" si="11"/>
        <v>5.8749999999999997E-2</v>
      </c>
      <c r="O21" s="40">
        <f>H21*B21</f>
        <v>0</v>
      </c>
      <c r="P21" s="40">
        <f t="shared" ref="P21" si="23">I21*C21</f>
        <v>0</v>
      </c>
      <c r="Q21" s="40">
        <f t="shared" ref="Q21" si="24">J21*D21</f>
        <v>0</v>
      </c>
      <c r="R21" s="40">
        <f t="shared" ref="R21" si="25">K21*E21</f>
        <v>0</v>
      </c>
    </row>
    <row r="22" spans="1:19" x14ac:dyDescent="0.2">
      <c r="G22" t="s">
        <v>17</v>
      </c>
      <c r="H22" s="14">
        <f>SUM(H14:H21)</f>
        <v>522</v>
      </c>
      <c r="I22" s="14">
        <f>SUM(I14:I21)</f>
        <v>216</v>
      </c>
      <c r="J22" s="14">
        <f>SUM(J14:J21)</f>
        <v>58</v>
      </c>
      <c r="K22" s="14">
        <f>SUM(K14:K21)</f>
        <v>4</v>
      </c>
      <c r="L22" s="23">
        <f>SUM(H22:K22)</f>
        <v>800</v>
      </c>
      <c r="M22" s="21"/>
      <c r="O22" s="40">
        <f>SUM(O14:O20)</f>
        <v>201460</v>
      </c>
      <c r="P22" s="40">
        <f>SUM(P14:P20)</f>
        <v>114042</v>
      </c>
      <c r="Q22" s="40">
        <f>SUM(Q14:Q20)</f>
        <v>33166</v>
      </c>
      <c r="R22" s="40">
        <f>SUM(R14:R20)</f>
        <v>2560</v>
      </c>
      <c r="S22" s="41">
        <f>SUM(O22:R22)</f>
        <v>351228</v>
      </c>
    </row>
    <row r="25" spans="1:19" x14ac:dyDescent="0.2">
      <c r="A25" s="44"/>
      <c r="B25" s="45" t="s">
        <v>1</v>
      </c>
      <c r="C25" s="45" t="s">
        <v>50</v>
      </c>
      <c r="D25" s="45" t="s">
        <v>4</v>
      </c>
      <c r="E25" s="45" t="s">
        <v>51</v>
      </c>
      <c r="F25" s="46"/>
      <c r="G25" s="46"/>
      <c r="H25" s="47" t="s">
        <v>1</v>
      </c>
      <c r="I25" s="47" t="s">
        <v>50</v>
      </c>
      <c r="J25" s="47" t="s">
        <v>4</v>
      </c>
      <c r="K25" s="47" t="s">
        <v>51</v>
      </c>
      <c r="L25" s="47"/>
      <c r="M25" s="46"/>
      <c r="N25" s="46"/>
      <c r="O25" s="45" t="s">
        <v>1</v>
      </c>
      <c r="P25" s="45" t="s">
        <v>50</v>
      </c>
      <c r="Q25" s="45" t="s">
        <v>4</v>
      </c>
      <c r="R25" s="45" t="s">
        <v>51</v>
      </c>
      <c r="S25" s="48"/>
    </row>
    <row r="26" spans="1:19" x14ac:dyDescent="0.2">
      <c r="A26" s="16" t="s">
        <v>52</v>
      </c>
      <c r="B26" s="39">
        <v>540</v>
      </c>
      <c r="C26" s="39">
        <v>610</v>
      </c>
      <c r="D26" s="39">
        <v>670</v>
      </c>
      <c r="E26" s="39">
        <v>690</v>
      </c>
      <c r="H26" s="14">
        <v>200</v>
      </c>
      <c r="I26" s="14">
        <v>90</v>
      </c>
      <c r="J26">
        <v>55</v>
      </c>
      <c r="K26">
        <v>5</v>
      </c>
      <c r="L26" s="14">
        <f>SUM(H26:K26)</f>
        <v>350</v>
      </c>
      <c r="M26" s="21">
        <f>L26/$L$34</f>
        <v>0.35</v>
      </c>
      <c r="O26" s="40">
        <f>(B26*H26)</f>
        <v>108000</v>
      </c>
      <c r="P26" s="40">
        <f>(C26*I26)</f>
        <v>54900</v>
      </c>
      <c r="Q26" s="40">
        <f>(D26*J26)</f>
        <v>36850</v>
      </c>
      <c r="R26" s="40">
        <f>(E26*K26)</f>
        <v>3450</v>
      </c>
      <c r="S26" s="43"/>
    </row>
    <row r="27" spans="1:19" x14ac:dyDescent="0.2">
      <c r="A27" s="17" t="s">
        <v>53</v>
      </c>
      <c r="B27" s="39">
        <v>275</v>
      </c>
      <c r="C27" s="39">
        <v>300</v>
      </c>
      <c r="D27" s="39">
        <v>325</v>
      </c>
      <c r="E27" s="39">
        <v>350</v>
      </c>
      <c r="H27" s="14">
        <v>15</v>
      </c>
      <c r="I27">
        <v>5</v>
      </c>
      <c r="J27">
        <v>1</v>
      </c>
      <c r="K27">
        <v>0</v>
      </c>
      <c r="L27" s="14">
        <f>SUM(H27:K27)</f>
        <v>21</v>
      </c>
      <c r="M27" s="21">
        <f t="shared" ref="M27:M33" si="26">L27/$L$34</f>
        <v>2.1000000000000001E-2</v>
      </c>
      <c r="O27" s="40">
        <f>(B27*H27)</f>
        <v>4125</v>
      </c>
      <c r="P27" s="40">
        <f t="shared" ref="P27:R27" si="27">(C27*I27)</f>
        <v>1500</v>
      </c>
      <c r="Q27" s="40">
        <f t="shared" si="27"/>
        <v>325</v>
      </c>
      <c r="R27" s="40">
        <f t="shared" si="27"/>
        <v>0</v>
      </c>
    </row>
    <row r="28" spans="1:19" x14ac:dyDescent="0.2">
      <c r="A28" s="24" t="s">
        <v>54</v>
      </c>
      <c r="B28" s="39">
        <v>240</v>
      </c>
      <c r="C28" s="39">
        <v>290</v>
      </c>
      <c r="D28" s="39">
        <f>290+50</f>
        <v>340</v>
      </c>
      <c r="E28" s="39">
        <f>340+50</f>
        <v>390</v>
      </c>
      <c r="H28" s="14">
        <v>145</v>
      </c>
      <c r="I28">
        <v>50</v>
      </c>
      <c r="J28">
        <v>18</v>
      </c>
      <c r="K28">
        <v>3</v>
      </c>
      <c r="L28" s="14">
        <f>SUM(H28:K28)</f>
        <v>216</v>
      </c>
      <c r="M28" s="21">
        <f t="shared" si="26"/>
        <v>0.216</v>
      </c>
      <c r="O28" s="40">
        <f>(B28*H28)</f>
        <v>34800</v>
      </c>
      <c r="P28" s="40">
        <f>(C28*I28)</f>
        <v>14500</v>
      </c>
      <c r="Q28" s="40">
        <f>(D28*J28)</f>
        <v>6120</v>
      </c>
      <c r="R28" s="40">
        <f>(E28*K28)</f>
        <v>1170</v>
      </c>
    </row>
    <row r="29" spans="1:19" x14ac:dyDescent="0.2">
      <c r="A29" s="16" t="s">
        <v>55</v>
      </c>
      <c r="B29" s="39">
        <v>640</v>
      </c>
      <c r="C29" s="39">
        <v>710</v>
      </c>
      <c r="D29" s="39">
        <v>770</v>
      </c>
      <c r="E29" s="39">
        <v>790</v>
      </c>
      <c r="H29" s="14">
        <v>90</v>
      </c>
      <c r="I29">
        <v>50</v>
      </c>
      <c r="J29">
        <v>30</v>
      </c>
      <c r="K29">
        <v>2</v>
      </c>
      <c r="L29" s="14">
        <f>SUM(H29:K29)</f>
        <v>172</v>
      </c>
      <c r="M29" s="21">
        <f t="shared" si="26"/>
        <v>0.17199999999999999</v>
      </c>
      <c r="O29" s="40">
        <f>H29*B29</f>
        <v>57600</v>
      </c>
      <c r="P29" s="40">
        <f>I29*C29</f>
        <v>35500</v>
      </c>
      <c r="Q29" s="40">
        <f>J29*D29</f>
        <v>23100</v>
      </c>
      <c r="R29" s="40">
        <f>K29*E29</f>
        <v>1580</v>
      </c>
      <c r="S29" s="43"/>
    </row>
    <row r="30" spans="1:19" x14ac:dyDescent="0.2">
      <c r="A30" s="17" t="s">
        <v>56</v>
      </c>
      <c r="B30" s="39">
        <v>300</v>
      </c>
      <c r="C30" s="39">
        <v>330</v>
      </c>
      <c r="D30" s="39">
        <v>380</v>
      </c>
      <c r="E30" s="39">
        <v>450</v>
      </c>
      <c r="H30" s="14">
        <v>13</v>
      </c>
      <c r="I30">
        <v>2</v>
      </c>
      <c r="J30">
        <v>1</v>
      </c>
      <c r="K30">
        <v>0</v>
      </c>
      <c r="L30" s="14">
        <f t="shared" ref="L30:L32" si="28">SUM(H30:K30)</f>
        <v>16</v>
      </c>
      <c r="M30" s="21">
        <f t="shared" si="26"/>
        <v>1.6E-2</v>
      </c>
      <c r="O30" s="40">
        <f>H30*B30</f>
        <v>3900</v>
      </c>
      <c r="P30" s="40">
        <f t="shared" ref="P30" si="29">I30*C30</f>
        <v>660</v>
      </c>
      <c r="Q30" s="40">
        <f t="shared" ref="Q30" si="30">J30*D30</f>
        <v>380</v>
      </c>
      <c r="R30" s="40">
        <f t="shared" ref="R30" si="31">K30*E30</f>
        <v>0</v>
      </c>
    </row>
    <row r="31" spans="1:19" x14ac:dyDescent="0.2">
      <c r="A31" s="16" t="s">
        <v>57</v>
      </c>
      <c r="B31" s="39">
        <v>340</v>
      </c>
      <c r="C31" s="39">
        <v>390</v>
      </c>
      <c r="D31" s="39">
        <v>440</v>
      </c>
      <c r="E31" s="39">
        <v>540</v>
      </c>
      <c r="H31" s="14">
        <v>67</v>
      </c>
      <c r="I31">
        <v>63</v>
      </c>
      <c r="J31">
        <v>25</v>
      </c>
      <c r="K31">
        <v>3</v>
      </c>
      <c r="L31" s="14">
        <f t="shared" si="28"/>
        <v>158</v>
      </c>
      <c r="M31" s="21">
        <f t="shared" si="26"/>
        <v>0.158</v>
      </c>
      <c r="O31" s="40">
        <f>(B31*H31)</f>
        <v>22780</v>
      </c>
      <c r="P31" s="40">
        <f t="shared" ref="P31:P32" si="32">(C31*I31)</f>
        <v>24570</v>
      </c>
      <c r="Q31" s="40">
        <f t="shared" ref="Q31:Q32" si="33">(D31*J31)</f>
        <v>11000</v>
      </c>
      <c r="R31" s="40">
        <f t="shared" ref="R31:R32" si="34">(E31*K31)</f>
        <v>1620</v>
      </c>
      <c r="S31" s="43"/>
    </row>
    <row r="32" spans="1:19" x14ac:dyDescent="0.2">
      <c r="A32" s="17" t="s">
        <v>58</v>
      </c>
      <c r="B32" s="39">
        <f>B26*40%</f>
        <v>216</v>
      </c>
      <c r="C32" s="39">
        <f>C26*40%</f>
        <v>244</v>
      </c>
      <c r="D32" s="39">
        <f>D26*40%</f>
        <v>268</v>
      </c>
      <c r="E32" s="39">
        <f>E26*40%</f>
        <v>276</v>
      </c>
      <c r="H32" s="14">
        <v>10</v>
      </c>
      <c r="I32" s="14">
        <v>8</v>
      </c>
      <c r="J32" s="14">
        <v>2</v>
      </c>
      <c r="K32" s="14">
        <v>0</v>
      </c>
      <c r="L32" s="15">
        <f t="shared" si="28"/>
        <v>20</v>
      </c>
      <c r="M32" s="21">
        <f t="shared" si="26"/>
        <v>0.02</v>
      </c>
      <c r="O32" s="40">
        <f>(B32*H32)</f>
        <v>2160</v>
      </c>
      <c r="P32" s="40">
        <f t="shared" si="32"/>
        <v>1952</v>
      </c>
      <c r="Q32" s="40">
        <f t="shared" si="33"/>
        <v>536</v>
      </c>
      <c r="R32" s="40">
        <f t="shared" si="34"/>
        <v>0</v>
      </c>
    </row>
    <row r="33" spans="1:19" x14ac:dyDescent="0.2">
      <c r="A33" s="17" t="s">
        <v>59</v>
      </c>
      <c r="B33" s="39">
        <v>0</v>
      </c>
      <c r="C33" s="39">
        <v>0</v>
      </c>
      <c r="D33" s="39">
        <v>0</v>
      </c>
      <c r="E33" s="39">
        <v>0</v>
      </c>
      <c r="G33" s="14"/>
      <c r="H33" s="14">
        <v>47</v>
      </c>
      <c r="I33" s="14">
        <v>0</v>
      </c>
      <c r="J33" s="14">
        <v>0</v>
      </c>
      <c r="K33" s="14">
        <v>0</v>
      </c>
      <c r="L33" s="14">
        <f t="shared" ref="L33" si="35">SUM(H33:K33)</f>
        <v>47</v>
      </c>
      <c r="M33" s="21">
        <f t="shared" si="26"/>
        <v>4.7E-2</v>
      </c>
      <c r="O33" s="40">
        <f>H33*B33</f>
        <v>0</v>
      </c>
      <c r="P33" s="40">
        <f t="shared" ref="P33" si="36">I33*C33</f>
        <v>0</v>
      </c>
      <c r="Q33" s="40">
        <f t="shared" ref="Q33" si="37">J33*D33</f>
        <v>0</v>
      </c>
      <c r="R33" s="40">
        <f t="shared" ref="R33" si="38">K33*E33</f>
        <v>0</v>
      </c>
    </row>
    <row r="34" spans="1:19" x14ac:dyDescent="0.2">
      <c r="G34" t="s">
        <v>17</v>
      </c>
      <c r="H34" s="14">
        <f>SUM(H26:H33)</f>
        <v>587</v>
      </c>
      <c r="I34" s="14">
        <f>SUM(I26:I32)</f>
        <v>268</v>
      </c>
      <c r="J34" s="14">
        <f>SUM(J26:J32)</f>
        <v>132</v>
      </c>
      <c r="K34" s="14">
        <f>SUM(K26:K32)</f>
        <v>13</v>
      </c>
      <c r="L34" s="23">
        <f>SUM(H34:K34)</f>
        <v>1000</v>
      </c>
      <c r="O34" s="40">
        <f>SUM(O26:O32)</f>
        <v>233365</v>
      </c>
      <c r="P34" s="40">
        <f t="shared" ref="P34:R34" si="39">SUM(P26:P32)</f>
        <v>133582</v>
      </c>
      <c r="Q34" s="40">
        <f t="shared" si="39"/>
        <v>78311</v>
      </c>
      <c r="R34" s="40">
        <f t="shared" si="39"/>
        <v>7820</v>
      </c>
      <c r="S34" s="41">
        <f>SUM(O34:R34)</f>
        <v>453078</v>
      </c>
    </row>
    <row r="38" spans="1:19" x14ac:dyDescent="0.2">
      <c r="M38" s="28"/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30B8D9E73594CBEA248C479AC7741" ma:contentTypeVersion="16" ma:contentTypeDescription="Create a new document." ma:contentTypeScope="" ma:versionID="72660f5a18386ffe4f7727902520923b">
  <xsd:schema xmlns:xsd="http://www.w3.org/2001/XMLSchema" xmlns:xs="http://www.w3.org/2001/XMLSchema" xmlns:p="http://schemas.microsoft.com/office/2006/metadata/properties" xmlns:ns2="3ca975e7-bd6e-4db8-a09e-23cb76725a98" xmlns:ns3="4fb9e727-da0c-460e-8db5-8465faf3aa56" targetNamespace="http://schemas.microsoft.com/office/2006/metadata/properties" ma:root="true" ma:fieldsID="6e61531a1ab94670a776d2c44c1b36b9" ns2:_="" ns3:_="">
    <xsd:import namespace="3ca975e7-bd6e-4db8-a09e-23cb76725a98"/>
    <xsd:import namespace="4fb9e727-da0c-460e-8db5-8465faf3a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975e7-bd6e-4db8-a09e-23cb76725a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8129d7-0553-4efe-b0a2-da2591105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e727-da0c-460e-8db5-8465faf3aa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6838df5-a89d-4eef-b406-df3691cba8d3}" ma:internalName="TaxCatchAll" ma:showField="CatchAllData" ma:web="4fb9e727-da0c-460e-8db5-8465faf3aa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b9e727-da0c-460e-8db5-8465faf3aa56" xsi:nil="true"/>
    <lcf76f155ced4ddcb4097134ff3c332f xmlns="3ca975e7-bd6e-4db8-a09e-23cb76725a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8D93BB-F3FC-41B7-A21A-1A7F101F4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8D812E-FF22-42E8-9436-E83E160AA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975e7-bd6e-4db8-a09e-23cb76725a98"/>
    <ds:schemaRef ds:uri="4fb9e727-da0c-460e-8db5-8465faf3a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7F3B50-0E71-4809-BB6D-F62B7FD80828}">
  <ds:schemaRefs>
    <ds:schemaRef ds:uri="http://schemas.microsoft.com/office/2006/metadata/properties"/>
    <ds:schemaRef ds:uri="http://schemas.microsoft.com/office/infopath/2007/PartnerControls"/>
    <ds:schemaRef ds:uri="4fb9e727-da0c-460e-8db5-8465faf3aa56"/>
    <ds:schemaRef ds:uri="3ca975e7-bd6e-4db8-a09e-23cb76725a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Budget</vt:lpstr>
      <vt:lpstr> Draft 1 BUDGET</vt:lpstr>
      <vt:lpstr>Reg Income Projection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Ale Quartiroli</cp:lastModifiedBy>
  <cp:revision/>
  <dcterms:created xsi:type="dcterms:W3CDTF">2018-06-25T10:37:55Z</dcterms:created>
  <dcterms:modified xsi:type="dcterms:W3CDTF">2024-11-06T19:00:41Z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0x01010021330B8D9E73594CBEA248C479AC7741</vt:lpwstr>
  </property>
  <property fmtid="{D5CDD505-2E9C-101B-9397-08002B2CF9AE}" pid="3" name="MediaServiceImageTags">
    <vt:lpwstr/>
  </property>
</Properties>
</file>